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uplink rain attenuation" sheetId="1" r:id="rId1"/>
  </sheets>
  <definedNames>
    <definedName name="A0.01">'uplink rain attenuation'!$B$38:$N$38</definedName>
    <definedName name="alpha">'uplink rain attenuation'!$B$30:$N$30</definedName>
    <definedName name="alphaH">'uplink rain attenuation'!$B$28:$N$28</definedName>
    <definedName name="alphaV">'uplink rain attenuation'!$B$29:$N$29</definedName>
    <definedName name="beta">'uplink rain attenuation'!$B$40:$N$40</definedName>
    <definedName name="E">'uplink rain attenuation'!$B$15:$N$15</definedName>
    <definedName name="f">'uplink rain attenuation'!$B$22:$N$22</definedName>
    <definedName name="gammaR">'uplink rain attenuation'!$B$31:$N$31</definedName>
    <definedName name="h0">'uplink rain attenuation'!$B$17:$N$17</definedName>
    <definedName name="hR">'uplink rain attenuation'!$B$18:$O$18</definedName>
    <definedName name="hS">'uplink rain attenuation'!$B$16:$N$16</definedName>
    <definedName name="k">'uplink rain attenuation'!$B$27:$N$27</definedName>
    <definedName name="kH">'uplink rain attenuation'!$B$25:$N$25</definedName>
    <definedName name="ksi">'uplink rain attenuation'!$B$35:$N$35</definedName>
    <definedName name="kV">'uplink rain attenuation'!$B$26:$N$26</definedName>
    <definedName name="LE">'uplink rain attenuation'!$B$37:$N$37</definedName>
    <definedName name="LG">'uplink rain attenuation'!$B$20:$N$20</definedName>
    <definedName name="LR">'uplink rain attenuation'!$B$34:$N$34</definedName>
    <definedName name="Ls">'uplink rain attenuation'!$B$19:$N$19</definedName>
    <definedName name="p">'uplink rain attenuation'!$B$39:$N$39</definedName>
    <definedName name="r_0.01">'uplink rain attenuation'!$B$32:$N$32</definedName>
    <definedName name="R0.01">'uplink rain attenuation'!$B$21:$N$21</definedName>
    <definedName name="tau">'uplink rain attenuation'!$B$24:$N$24</definedName>
    <definedName name="v0.01">'uplink rain attenuation'!$B$36:$N$36</definedName>
    <definedName name="zeta">'uplink rain attenuation'!$B$33:$N$33</definedName>
  </definedNames>
  <calcPr fullCalcOnLoad="1"/>
</workbook>
</file>

<file path=xl/sharedStrings.xml><?xml version="1.0" encoding="utf-8"?>
<sst xmlns="http://schemas.openxmlformats.org/spreadsheetml/2006/main" count="112" uniqueCount="112">
  <si>
    <t>GEOMETRIC PARAMETERS</t>
  </si>
  <si>
    <t>satellite longitude</t>
  </si>
  <si>
    <r>
      <rPr>
        <sz val="11"/>
        <rFont val="Arial Narrow"/>
        <family val="2"/>
      </rPr>
      <t>lon_SL</t>
    </r>
  </si>
  <si>
    <t>°E</t>
  </si>
  <si>
    <t>Location</t>
  </si>
  <si>
    <t>Zone A</t>
  </si>
  <si>
    <t>Zone B</t>
  </si>
  <si>
    <t>Zone C</t>
  </si>
  <si>
    <t>transmit earth station latitude</t>
  </si>
  <si>
    <t>lat_ES</t>
  </si>
  <si>
    <t>°N</t>
  </si>
  <si>
    <t>°N</t>
  </si>
  <si>
    <t>°N</t>
  </si>
  <si>
    <t>transmit earth station longitude</t>
  </si>
  <si>
    <r>
      <rPr>
        <sz val="11"/>
        <rFont val="Arial Narrow"/>
        <family val="2"/>
      </rPr>
      <t>lon_ES</t>
    </r>
  </si>
  <si>
    <t>°E</t>
  </si>
  <si>
    <t>°E</t>
  </si>
  <si>
    <t>°E</t>
  </si>
  <si>
    <t>transmit station to satellite longitude difference</t>
  </si>
  <si>
    <t>L</t>
  </si>
  <si>
    <t>deg</t>
  </si>
  <si>
    <t>deg</t>
  </si>
  <si>
    <t>deg</t>
  </si>
  <si>
    <t>cos PHI = cos(lat_ES) cos(L)</t>
  </si>
  <si>
    <t>PHI</t>
  </si>
  <si>
    <t>rad</t>
  </si>
  <si>
    <t>rad</t>
  </si>
  <si>
    <t>rad</t>
  </si>
  <si>
    <t>deg</t>
  </si>
  <si>
    <t>deg</t>
  </si>
  <si>
    <t>deg</t>
  </si>
  <si>
    <t>ELEVATION ANGLE</t>
  </si>
  <si>
    <t>E</t>
  </si>
  <si>
    <t>deg</t>
  </si>
  <si>
    <t>deg</t>
  </si>
  <si>
    <t>deg</t>
  </si>
  <si>
    <t>RAIN ATTENUATION</t>
  </si>
  <si>
    <t>units</t>
  </si>
  <si>
    <t>elevation angle</t>
  </si>
  <si>
    <t>E</t>
  </si>
  <si>
    <t>deg</t>
  </si>
  <si>
    <t>height of earth station above sea level</t>
  </si>
  <si>
    <r>
      <rPr>
        <sz val="11"/>
        <rFont val="Arial Narrow"/>
        <family val="2"/>
      </rPr>
      <t>hS</t>
    </r>
  </si>
  <si>
    <t>km</t>
  </si>
  <si>
    <t>yearly average 0°C isotherm height above sea level</t>
  </si>
  <si>
    <t>h0</t>
  </si>
  <si>
    <t>km</t>
  </si>
  <si>
    <t>height of rain above sea level</t>
  </si>
  <si>
    <r>
      <rPr>
        <sz val="11"/>
        <rFont val="Arial Narrow"/>
        <family val="2"/>
      </rPr>
      <t>hR</t>
    </r>
  </si>
  <si>
    <t>km</t>
  </si>
  <si>
    <r>
      <rPr>
        <sz val="10"/>
        <rFont val="Arial Narrow"/>
        <family val="2"/>
      </rPr>
      <t>slant path lenght through rain uplink</t>
    </r>
  </si>
  <si>
    <t>Ls</t>
  </si>
  <si>
    <t>km</t>
  </si>
  <si>
    <r>
      <rPr>
        <sz val="10"/>
        <rFont val="Arial Narrow"/>
        <family val="2"/>
      </rPr>
      <t>horizontal projection of slant path uplink</t>
    </r>
  </si>
  <si>
    <t>LG</t>
  </si>
  <si>
    <t>km</t>
  </si>
  <si>
    <t>rainfall rate exceeded for 0.01% year</t>
  </si>
  <si>
    <t>R0.01</t>
  </si>
  <si>
    <t>mm/h</t>
  </si>
  <si>
    <r>
      <rPr>
        <sz val="10"/>
        <rFont val="Arial Narrow"/>
        <family val="2"/>
      </rPr>
      <t>uplink frequency</t>
    </r>
  </si>
  <si>
    <t>f</t>
  </si>
  <si>
    <r>
      <rPr>
        <sz val="11"/>
        <rFont val="Arial Narrow"/>
        <family val="2"/>
      </rPr>
      <t>GHz</t>
    </r>
  </si>
  <si>
    <r>
      <rPr>
        <b/>
        <sz val="11"/>
        <rFont val="Arial Narrow"/>
        <family val="2"/>
      </rPr>
      <t>polarisation</t>
    </r>
  </si>
  <si>
    <t>Vertical</t>
  </si>
  <si>
    <t>Horizontal</t>
  </si>
  <si>
    <t>Vertical</t>
  </si>
  <si>
    <t>Horizontal</t>
  </si>
  <si>
    <t>Vertical</t>
  </si>
  <si>
    <t>Horizontal</t>
  </si>
  <si>
    <t>Vertical</t>
  </si>
  <si>
    <t>Horizontal</t>
  </si>
  <si>
    <t>Vertical</t>
  </si>
  <si>
    <t>Horizontal</t>
  </si>
  <si>
    <t>Vertical</t>
  </si>
  <si>
    <t>Horizontal</t>
  </si>
  <si>
    <t>tau</t>
  </si>
  <si>
    <t>deg</t>
  </si>
  <si>
    <r>
      <rPr>
        <sz val="10"/>
        <rFont val="Arial Narrow"/>
        <family val="2"/>
      </rPr>
      <t>calculation for gammaR</t>
    </r>
  </si>
  <si>
    <r>
      <rPr>
        <sz val="11"/>
        <rFont val="Arial Narrow"/>
        <family val="2"/>
      </rPr>
      <t>kH</t>
    </r>
  </si>
  <si>
    <r>
      <rPr>
        <sz val="11"/>
        <rFont val="Arial Narrow"/>
        <family val="2"/>
      </rPr>
      <t>kV</t>
    </r>
  </si>
  <si>
    <r>
      <rPr>
        <sz val="10"/>
        <rFont val="Arial Narrow"/>
        <family val="2"/>
      </rPr>
      <t>coefficient in formula for gammaR</t>
    </r>
  </si>
  <si>
    <t>k</t>
  </si>
  <si>
    <r>
      <rPr>
        <sz val="11"/>
        <rFont val="Arial Narrow"/>
        <family val="2"/>
      </rPr>
      <t>alphaH</t>
    </r>
  </si>
  <si>
    <r>
      <rPr>
        <sz val="11"/>
        <rFont val="Arial Narrow"/>
        <family val="2"/>
      </rPr>
      <t>alphaV</t>
    </r>
  </si>
  <si>
    <r>
      <rPr>
        <sz val="10"/>
        <rFont val="Arial Narrow"/>
        <family val="2"/>
      </rPr>
      <t>exponent in formula for gammaR</t>
    </r>
  </si>
  <si>
    <t>alpha</t>
  </si>
  <si>
    <r>
      <rPr>
        <sz val="10"/>
        <rFont val="Arial Narrow"/>
        <family val="2"/>
      </rPr>
      <t>gammaR</t>
    </r>
  </si>
  <si>
    <r>
      <rPr>
        <sz val="11"/>
        <rFont val="Arial Narrow"/>
        <family val="2"/>
      </rPr>
      <t>gammaR</t>
    </r>
  </si>
  <si>
    <t>dB/km</t>
  </si>
  <si>
    <t>horizontal reduction factor</t>
  </si>
  <si>
    <t>r0.01</t>
  </si>
  <si>
    <t>vertical adjustment factor</t>
  </si>
  <si>
    <t>zeta</t>
  </si>
  <si>
    <t>deg</t>
  </si>
  <si>
    <t>LR</t>
  </si>
  <si>
    <t>km</t>
  </si>
  <si>
    <r>
      <rPr>
        <sz val="11"/>
        <rFont val="Arial Narrow"/>
        <family val="2"/>
      </rPr>
      <t>ksi</t>
    </r>
  </si>
  <si>
    <t>deg</t>
  </si>
  <si>
    <t>v0.01</t>
  </si>
  <si>
    <t>effective path length</t>
  </si>
  <si>
    <t>LE</t>
  </si>
  <si>
    <t>km</t>
  </si>
  <si>
    <t>attenuation exceeded for 0.01% of year</t>
  </si>
  <si>
    <t>A0.01</t>
  </si>
  <si>
    <t>dB</t>
  </si>
  <si>
    <t>year percentage equivalent to 0.3% month</t>
  </si>
  <si>
    <t>p</t>
  </si>
  <si>
    <t>%</t>
  </si>
  <si>
    <t>beta</t>
  </si>
  <si>
    <r>
      <rPr>
        <sz val="10"/>
        <rFont val="Arial Narrow"/>
        <family val="2"/>
      </rPr>
      <t>attenuation exceeded for 0.3% of month i.e. p = 0.075% of year</t>
    </r>
  </si>
  <si>
    <t>A0.075</t>
  </si>
  <si>
    <t>dB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</si>
</sst>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"/>
    <numFmt numFmtId="166" formatCode="0.000"/>
    <numFmt numFmtId="167" formatCode="0.0"/>
    <numFmt numFmtId="168" formatCode="0"/>
    <numFmt numFmtId="169" formatCode="0.0000000"/>
    <numFmt numFmtId="170" formatCode="0.00000"/>
    <numFmt numFmtId="171" formatCode="0.0000"/>
  </numFmts>
  <fonts count="6">
    <font>
      <sz val="10"/>
      <name val="Arial"/>
      <family val="2"/>
    </font>
    <font>
      <sz val="14"/>
      <name val="N Helvetica Narrow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0" borderId="0">
      <alignment vertical="top"/>
      <protection/>
    </xf>
  </cellStyleXfs>
  <cellXfs count="9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20" applyFont="1" applyBorder="1">
      <alignment vertical="top"/>
      <protection/>
    </xf>
    <xf numFmtId="164" fontId="2" fillId="0" borderId="2" xfId="20" applyFont="1" applyBorder="1">
      <alignment vertical="top"/>
      <protection/>
    </xf>
    <xf numFmtId="164" fontId="2" fillId="0" borderId="1" xfId="20" applyFont="1" applyBorder="1">
      <alignment vertical="top"/>
      <protection/>
    </xf>
    <xf numFmtId="164" fontId="2" fillId="0" borderId="3" xfId="20" applyFont="1" applyBorder="1">
      <alignment vertical="top"/>
      <protection/>
    </xf>
    <xf numFmtId="164" fontId="2" fillId="0" borderId="2" xfId="20" applyFont="1" applyBorder="1" applyAlignment="1">
      <alignment horizontal="center" vertical="top"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20" applyFont="1" applyBorder="1">
      <alignment vertical="top"/>
      <protection/>
    </xf>
    <xf numFmtId="164" fontId="2" fillId="0" borderId="0" xfId="20" applyFont="1" applyBorder="1">
      <alignment vertical="top"/>
      <protection/>
    </xf>
    <xf numFmtId="164" fontId="2" fillId="2" borderId="4" xfId="20" applyFont="1" applyFill="1" applyBorder="1" applyAlignment="1" applyProtection="1">
      <alignment horizontal="center" vertical="top"/>
      <protection locked="0"/>
    </xf>
    <xf numFmtId="164" fontId="2" fillId="0" borderId="5" xfId="20" applyFont="1" applyBorder="1">
      <alignment vertical="top"/>
      <protection/>
    </xf>
    <xf numFmtId="164" fontId="2" fillId="0" borderId="0" xfId="20" applyFont="1" applyBorder="1" applyAlignment="1">
      <alignment horizontal="center" vertical="top"/>
      <protection/>
    </xf>
    <xf numFmtId="164" fontId="2" fillId="0" borderId="5" xfId="0" applyFont="1" applyBorder="1" applyAlignment="1">
      <alignment/>
    </xf>
    <xf numFmtId="164" fontId="3" fillId="0" borderId="4" xfId="20" applyFont="1" applyBorder="1" applyAlignment="1">
      <alignment horizontal="right" vertical="top"/>
      <protection/>
    </xf>
    <xf numFmtId="164" fontId="3" fillId="0" borderId="0" xfId="20" applyFont="1" applyBorder="1">
      <alignment vertical="top"/>
      <protection/>
    </xf>
    <xf numFmtId="164" fontId="3" fillId="0" borderId="6" xfId="20" applyFont="1" applyBorder="1" applyAlignment="1">
      <alignment horizontal="center" vertical="top"/>
      <protection/>
    </xf>
    <xf numFmtId="165" fontId="2" fillId="2" borderId="4" xfId="20" applyNumberFormat="1" applyFont="1" applyFill="1" applyBorder="1" applyAlignment="1" applyProtection="1">
      <alignment horizontal="center" vertical="top"/>
      <protection locked="0"/>
    </xf>
    <xf numFmtId="164" fontId="2" fillId="0" borderId="0" xfId="20" applyFont="1" applyBorder="1" applyProtection="1">
      <alignment vertical="top"/>
      <protection locked="0"/>
    </xf>
    <xf numFmtId="164" fontId="2" fillId="0" borderId="5" xfId="20" applyFont="1" applyBorder="1" applyProtection="1">
      <alignment vertical="top"/>
      <protection locked="0"/>
    </xf>
    <xf numFmtId="164" fontId="2" fillId="0" borderId="4" xfId="20" applyFont="1" applyFill="1" applyBorder="1" applyAlignment="1">
      <alignment horizontal="center" vertical="top"/>
      <protection/>
    </xf>
    <xf numFmtId="164" fontId="2" fillId="0" borderId="0" xfId="20" applyFont="1" applyFill="1" applyBorder="1">
      <alignment vertical="top"/>
      <protection/>
    </xf>
    <xf numFmtId="164" fontId="2" fillId="0" borderId="5" xfId="20" applyFont="1" applyFill="1" applyBorder="1">
      <alignment vertical="top"/>
      <protection/>
    </xf>
    <xf numFmtId="165" fontId="2" fillId="0" borderId="4" xfId="20" applyNumberFormat="1" applyFont="1" applyBorder="1" applyAlignment="1">
      <alignment vertical="top" wrapText="1"/>
      <protection/>
    </xf>
    <xf numFmtId="165" fontId="2" fillId="0" borderId="0" xfId="20" applyNumberFormat="1" applyFont="1" applyFill="1" applyBorder="1" applyAlignment="1">
      <alignment vertical="top" wrapText="1"/>
      <protection/>
    </xf>
    <xf numFmtId="165" fontId="2" fillId="0" borderId="4" xfId="20" applyNumberFormat="1" applyFont="1" applyFill="1" applyBorder="1" applyAlignment="1">
      <alignment horizontal="center" vertical="top" wrapText="1"/>
      <protection/>
    </xf>
    <xf numFmtId="165" fontId="2" fillId="0" borderId="0" xfId="20" applyNumberFormat="1" applyFont="1" applyFill="1" applyBorder="1" applyAlignment="1">
      <alignment horizontal="left" vertical="top" wrapText="1"/>
      <protection/>
    </xf>
    <xf numFmtId="165" fontId="2" fillId="0" borderId="5" xfId="20" applyNumberFormat="1" applyFont="1" applyFill="1" applyBorder="1" applyAlignment="1">
      <alignment horizontal="left" vertical="top" wrapText="1"/>
      <protection/>
    </xf>
    <xf numFmtId="165" fontId="2" fillId="0" borderId="0" xfId="20" applyNumberFormat="1" applyFont="1" applyBorder="1" applyAlignment="1">
      <alignment vertical="top" wrapText="1"/>
      <protection/>
    </xf>
    <xf numFmtId="165" fontId="2" fillId="0" borderId="0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166" fontId="2" fillId="0" borderId="4" xfId="20" applyNumberFormat="1" applyFont="1" applyFill="1" applyBorder="1" applyAlignment="1">
      <alignment horizontal="center" vertical="top"/>
      <protection/>
    </xf>
    <xf numFmtId="166" fontId="2" fillId="0" borderId="0" xfId="20" applyNumberFormat="1" applyFont="1" applyFill="1" applyBorder="1" applyAlignment="1">
      <alignment horizontal="center" vertical="top"/>
      <protection/>
    </xf>
    <xf numFmtId="166" fontId="2" fillId="0" borderId="5" xfId="20" applyNumberFormat="1" applyFont="1" applyFill="1" applyBorder="1" applyAlignment="1">
      <alignment horizontal="center" vertical="top"/>
      <protection/>
    </xf>
    <xf numFmtId="165" fontId="2" fillId="0" borderId="4" xfId="20" applyNumberFormat="1" applyFont="1" applyFill="1" applyBorder="1" applyAlignment="1">
      <alignment horizontal="center" vertical="top"/>
      <protection/>
    </xf>
    <xf numFmtId="165" fontId="2" fillId="0" borderId="4" xfId="20" applyNumberFormat="1" applyFont="1" applyBorder="1" applyAlignment="1">
      <alignment horizontal="center" vertical="top"/>
      <protection/>
    </xf>
    <xf numFmtId="165" fontId="2" fillId="0" borderId="0" xfId="20" applyNumberFormat="1" applyFont="1" applyBorder="1" applyAlignment="1">
      <alignment horizontal="center" vertical="top"/>
      <protection/>
    </xf>
    <xf numFmtId="165" fontId="2" fillId="0" borderId="0" xfId="20" applyNumberFormat="1" applyFont="1" applyBorder="1" applyAlignment="1">
      <alignment horizontal="left" vertical="top"/>
      <protection/>
    </xf>
    <xf numFmtId="165" fontId="2" fillId="0" borderId="5" xfId="20" applyNumberFormat="1" applyFont="1" applyBorder="1" applyAlignment="1">
      <alignment horizontal="left" vertical="top"/>
      <protection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2" fillId="0" borderId="4" xfId="20" applyFont="1" applyBorder="1" applyAlignment="1">
      <alignment horizontal="center" vertical="top"/>
      <protection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9" xfId="0" applyFont="1" applyBorder="1" applyAlignment="1">
      <alignment/>
    </xf>
    <xf numFmtId="164" fontId="3" fillId="3" borderId="7" xfId="20" applyFont="1" applyFill="1" applyBorder="1">
      <alignment vertical="top"/>
      <protection/>
    </xf>
    <xf numFmtId="164" fontId="2" fillId="3" borderId="8" xfId="20" applyFont="1" applyFill="1" applyBorder="1">
      <alignment vertical="top"/>
      <protection/>
    </xf>
    <xf numFmtId="165" fontId="2" fillId="3" borderId="7" xfId="20" applyNumberFormat="1" applyFont="1" applyFill="1" applyBorder="1">
      <alignment vertical="top"/>
      <protection/>
    </xf>
    <xf numFmtId="165" fontId="2" fillId="3" borderId="0" xfId="20" applyNumberFormat="1" applyFont="1" applyFill="1" applyBorder="1">
      <alignment vertical="top"/>
      <protection/>
    </xf>
    <xf numFmtId="164" fontId="2" fillId="3" borderId="5" xfId="20" applyFont="1" applyFill="1" applyBorder="1">
      <alignment vertical="top"/>
      <protection/>
    </xf>
    <xf numFmtId="164" fontId="2" fillId="3" borderId="10" xfId="20" applyFont="1" applyFill="1" applyBorder="1">
      <alignment vertical="top"/>
      <protection/>
    </xf>
    <xf numFmtId="164" fontId="4" fillId="3" borderId="10" xfId="20" applyFont="1" applyFill="1" applyBorder="1">
      <alignment vertical="top"/>
      <protection/>
    </xf>
    <xf numFmtId="164" fontId="2" fillId="3" borderId="11" xfId="20" applyFont="1" applyFill="1" applyBorder="1" applyAlignment="1">
      <alignment horizontal="center" vertical="top"/>
      <protection/>
    </xf>
    <xf numFmtId="165" fontId="2" fillId="3" borderId="10" xfId="20" applyNumberFormat="1" applyFont="1" applyFill="1" applyBorder="1" applyAlignment="1">
      <alignment horizontal="center" vertical="top"/>
      <protection/>
    </xf>
    <xf numFmtId="164" fontId="2" fillId="3" borderId="11" xfId="20" applyFont="1" applyFill="1" applyBorder="1" applyAlignment="1">
      <alignment horizontal="center"/>
      <protection/>
    </xf>
    <xf numFmtId="164" fontId="2" fillId="3" borderId="10" xfId="20" applyFont="1" applyFill="1" applyBorder="1" applyAlignment="1">
      <alignment horizontal="center" vertical="top"/>
      <protection/>
    </xf>
    <xf numFmtId="164" fontId="2" fillId="3" borderId="12" xfId="20" applyFont="1" applyFill="1" applyBorder="1" applyAlignment="1">
      <alignment horizontal="center" vertical="top"/>
      <protection/>
    </xf>
    <xf numFmtId="164" fontId="2" fillId="3" borderId="13" xfId="20" applyFont="1" applyFill="1" applyBorder="1" applyAlignment="1">
      <alignment horizontal="center" vertical="top"/>
      <protection/>
    </xf>
    <xf numFmtId="164" fontId="4" fillId="3" borderId="10" xfId="20" applyFont="1" applyFill="1" applyBorder="1" applyAlignment="1">
      <alignment vertical="top" wrapText="1"/>
      <protection/>
    </xf>
    <xf numFmtId="164" fontId="2" fillId="3" borderId="10" xfId="20" applyFont="1" applyFill="1" applyBorder="1" applyAlignment="1">
      <alignment vertical="top"/>
      <protection/>
    </xf>
    <xf numFmtId="164" fontId="2" fillId="0" borderId="0" xfId="0" applyFont="1" applyBorder="1" applyAlignment="1">
      <alignment vertical="top"/>
    </xf>
    <xf numFmtId="167" fontId="2" fillId="3" borderId="11" xfId="20" applyNumberFormat="1" applyFont="1" applyFill="1" applyBorder="1" applyAlignment="1">
      <alignment horizontal="center" vertical="top"/>
      <protection/>
    </xf>
    <xf numFmtId="167" fontId="2" fillId="3" borderId="10" xfId="20" applyNumberFormat="1" applyFont="1" applyFill="1" applyBorder="1" applyAlignment="1">
      <alignment horizontal="center" vertical="top"/>
      <protection/>
    </xf>
    <xf numFmtId="165" fontId="2" fillId="3" borderId="11" xfId="20" applyNumberFormat="1" applyFont="1" applyFill="1" applyBorder="1" applyAlignment="1">
      <alignment horizontal="center" vertical="top"/>
      <protection/>
    </xf>
    <xf numFmtId="168" fontId="2" fillId="3" borderId="10" xfId="20" applyNumberFormat="1" applyFont="1" applyFill="1" applyBorder="1" applyAlignment="1">
      <alignment horizontal="center" vertical="top"/>
      <protection/>
    </xf>
    <xf numFmtId="164" fontId="5" fillId="3" borderId="10" xfId="20" applyFont="1" applyFill="1" applyBorder="1">
      <alignment vertical="top"/>
      <protection/>
    </xf>
    <xf numFmtId="164" fontId="3" fillId="3" borderId="14" xfId="20" applyFont="1" applyFill="1" applyBorder="1" applyAlignment="1">
      <alignment horizontal="center" vertical="top"/>
      <protection/>
    </xf>
    <xf numFmtId="165" fontId="3" fillId="3" borderId="10" xfId="20" applyNumberFormat="1" applyFont="1" applyFill="1" applyBorder="1" applyAlignment="1">
      <alignment horizontal="center" vertical="top"/>
      <protection/>
    </xf>
    <xf numFmtId="168" fontId="2" fillId="3" borderId="11" xfId="20" applyNumberFormat="1" applyFont="1" applyFill="1" applyBorder="1" applyAlignment="1">
      <alignment horizontal="center" vertical="top"/>
      <protection/>
    </xf>
    <xf numFmtId="169" fontId="4" fillId="4" borderId="10" xfId="20" applyNumberFormat="1" applyFont="1" applyFill="1" applyBorder="1">
      <alignment vertical="top"/>
      <protection/>
    </xf>
    <xf numFmtId="169" fontId="2" fillId="4" borderId="10" xfId="20" applyNumberFormat="1" applyFont="1" applyFill="1" applyBorder="1" applyAlignment="1">
      <alignment horizontal="center"/>
      <protection/>
    </xf>
    <xf numFmtId="170" fontId="2" fillId="4" borderId="10" xfId="20" applyNumberFormat="1" applyFont="1" applyFill="1" applyBorder="1" applyAlignment="1">
      <alignment horizontal="center" vertical="top"/>
      <protection/>
    </xf>
    <xf numFmtId="169" fontId="2" fillId="4" borderId="10" xfId="20" applyNumberFormat="1" applyFont="1" applyFill="1" applyBorder="1">
      <alignment vertical="top"/>
      <protection/>
    </xf>
    <xf numFmtId="169" fontId="2" fillId="0" borderId="0" xfId="0" applyNumberFormat="1" applyFont="1" applyBorder="1" applyAlignment="1">
      <alignment/>
    </xf>
    <xf numFmtId="164" fontId="4" fillId="4" borderId="10" xfId="20" applyFont="1" applyFill="1" applyBorder="1">
      <alignment vertical="top"/>
      <protection/>
    </xf>
    <xf numFmtId="164" fontId="2" fillId="4" borderId="10" xfId="20" applyFont="1" applyFill="1" applyBorder="1" applyAlignment="1">
      <alignment horizontal="center"/>
      <protection/>
    </xf>
    <xf numFmtId="171" fontId="2" fillId="4" borderId="10" xfId="20" applyNumberFormat="1" applyFont="1" applyFill="1" applyBorder="1" applyAlignment="1">
      <alignment horizontal="center" vertical="top"/>
      <protection/>
    </xf>
    <xf numFmtId="164" fontId="2" fillId="4" borderId="10" xfId="20" applyFont="1" applyFill="1" applyBorder="1">
      <alignment vertical="top"/>
      <protection/>
    </xf>
    <xf numFmtId="165" fontId="2" fillId="4" borderId="10" xfId="20" applyNumberFormat="1" applyFont="1" applyFill="1" applyBorder="1" applyAlignment="1">
      <alignment horizontal="center" vertical="top"/>
      <protection/>
    </xf>
    <xf numFmtId="166" fontId="4" fillId="3" borderId="10" xfId="20" applyNumberFormat="1" applyFont="1" applyFill="1" applyBorder="1">
      <alignment vertical="top"/>
      <protection/>
    </xf>
    <xf numFmtId="166" fontId="2" fillId="3" borderId="10" xfId="20" applyNumberFormat="1" applyFont="1" applyFill="1" applyBorder="1" applyAlignment="1">
      <alignment horizontal="center"/>
      <protection/>
    </xf>
    <xf numFmtId="166" fontId="2" fillId="3" borderId="10" xfId="20" applyNumberFormat="1" applyFont="1" applyFill="1" applyBorder="1">
      <alignment vertical="top"/>
      <protection/>
    </xf>
    <xf numFmtId="166" fontId="2" fillId="0" borderId="0" xfId="0" applyNumberFormat="1" applyFont="1" applyBorder="1" applyAlignment="1">
      <alignment/>
    </xf>
    <xf numFmtId="164" fontId="2" fillId="3" borderId="10" xfId="20" applyFont="1" applyFill="1" applyBorder="1" applyAlignment="1">
      <alignment horizontal="center"/>
      <protection/>
    </xf>
    <xf numFmtId="166" fontId="2" fillId="3" borderId="10" xfId="20" applyNumberFormat="1" applyFont="1" applyFill="1" applyBorder="1" applyAlignment="1">
      <alignment horizontal="center" vertical="top"/>
      <protection/>
    </xf>
    <xf numFmtId="167" fontId="4" fillId="5" borderId="10" xfId="20" applyNumberFormat="1" applyFont="1" applyFill="1" applyBorder="1">
      <alignment vertical="top"/>
      <protection/>
    </xf>
    <xf numFmtId="167" fontId="2" fillId="5" borderId="10" xfId="20" applyNumberFormat="1" applyFont="1" applyFill="1" applyBorder="1" applyAlignment="1">
      <alignment horizontal="center"/>
      <protection/>
    </xf>
    <xf numFmtId="167" fontId="2" fillId="5" borderId="10" xfId="20" applyNumberFormat="1" applyFont="1" applyFill="1" applyBorder="1" applyAlignment="1">
      <alignment horizontal="center" vertical="top"/>
      <protection/>
    </xf>
    <xf numFmtId="167" fontId="2" fillId="5" borderId="10" xfId="20" applyNumberFormat="1" applyFont="1" applyFill="1" applyBorder="1">
      <alignment vertical="top"/>
      <protection/>
    </xf>
    <xf numFmtId="167" fontId="4" fillId="5" borderId="10" xfId="20" applyNumberFormat="1" applyFont="1" applyFill="1" applyBorder="1" applyAlignment="1">
      <alignment vertical="top" wrapText="1"/>
      <protection/>
    </xf>
    <xf numFmtId="167" fontId="2" fillId="5" borderId="10" xfId="20" applyNumberFormat="1" applyFont="1" applyFill="1" applyBorder="1" applyAlignment="1">
      <alignment horizontal="center" vertical="top" wrapText="1"/>
      <protection/>
    </xf>
    <xf numFmtId="167" fontId="2" fillId="5" borderId="10" xfId="20" applyNumberFormat="1" applyFont="1" applyFill="1" applyBorder="1" applyAlignment="1">
      <alignment vertical="top" wrapText="1"/>
      <protection/>
    </xf>
    <xf numFmtId="164" fontId="2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3">
      <selection activeCell="F47" sqref="F47"/>
    </sheetView>
  </sheetViews>
  <sheetFormatPr defaultColWidth="9.140625" defaultRowHeight="12.75"/>
  <cols>
    <col min="1" max="1" width="39.140625" style="1" customWidth="1"/>
    <col min="2" max="2" width="10.421875" style="1" customWidth="1"/>
    <col min="3" max="15" width="10.7109375" style="1" customWidth="1"/>
    <col min="16" max="256" width="38.00390625" style="1" customWidth="1"/>
  </cols>
  <sheetData>
    <row r="1" spans="1:14" s="1" customFormat="1" ht="14.25">
      <c r="A1" s="2" t="s">
        <v>0</v>
      </c>
      <c r="B1" s="3"/>
      <c r="C1" s="4"/>
      <c r="D1" s="3"/>
      <c r="E1" s="3"/>
      <c r="F1" s="5"/>
      <c r="G1" s="4"/>
      <c r="H1" s="3"/>
      <c r="I1" s="3"/>
      <c r="J1" s="5"/>
      <c r="K1" s="4"/>
      <c r="L1" s="6"/>
      <c r="M1" s="7"/>
      <c r="N1" s="8"/>
    </row>
    <row r="2" spans="1:14" s="1" customFormat="1" ht="14.25">
      <c r="A2" s="9" t="s">
        <v>1</v>
      </c>
      <c r="B2" s="10" t="s">
        <v>2</v>
      </c>
      <c r="C2" s="11">
        <v>5</v>
      </c>
      <c r="D2" s="10" t="s">
        <v>3</v>
      </c>
      <c r="E2" s="10"/>
      <c r="F2" s="12"/>
      <c r="G2" s="9"/>
      <c r="H2" s="10"/>
      <c r="I2" s="10"/>
      <c r="J2" s="12"/>
      <c r="K2" s="9"/>
      <c r="L2" s="13"/>
      <c r="N2" s="14"/>
    </row>
    <row r="3" spans="1:14" s="1" customFormat="1" ht="14.25">
      <c r="A3" s="15" t="s">
        <v>4</v>
      </c>
      <c r="B3" s="16"/>
      <c r="C3" s="17" t="s">
        <v>5</v>
      </c>
      <c r="D3" s="17"/>
      <c r="E3" s="17"/>
      <c r="F3" s="17"/>
      <c r="G3" s="17" t="s">
        <v>6</v>
      </c>
      <c r="H3" s="17"/>
      <c r="I3" s="17"/>
      <c r="J3" s="17"/>
      <c r="K3" s="17" t="s">
        <v>7</v>
      </c>
      <c r="L3" s="17"/>
      <c r="M3" s="17"/>
      <c r="N3" s="17"/>
    </row>
    <row r="4" spans="1:14" s="1" customFormat="1" ht="14.25">
      <c r="A4" s="9" t="s">
        <v>8</v>
      </c>
      <c r="B4" s="10" t="s">
        <v>9</v>
      </c>
      <c r="C4" s="18">
        <v>53</v>
      </c>
      <c r="D4" s="19" t="s">
        <v>10</v>
      </c>
      <c r="E4" s="19"/>
      <c r="F4" s="20"/>
      <c r="G4" s="18">
        <v>46</v>
      </c>
      <c r="H4" s="19" t="s">
        <v>11</v>
      </c>
      <c r="I4" s="19"/>
      <c r="J4" s="20"/>
      <c r="K4" s="18">
        <v>37</v>
      </c>
      <c r="L4" s="10" t="s">
        <v>12</v>
      </c>
      <c r="N4" s="14"/>
    </row>
    <row r="5" spans="1:14" s="1" customFormat="1" ht="14.25">
      <c r="A5" s="9" t="s">
        <v>13</v>
      </c>
      <c r="B5" s="10" t="s">
        <v>14</v>
      </c>
      <c r="C5" s="18">
        <v>0</v>
      </c>
      <c r="D5" s="19" t="s">
        <v>15</v>
      </c>
      <c r="E5" s="19"/>
      <c r="F5" s="20"/>
      <c r="G5" s="18">
        <v>12.5</v>
      </c>
      <c r="H5" s="19" t="s">
        <v>16</v>
      </c>
      <c r="I5" s="19"/>
      <c r="J5" s="20"/>
      <c r="K5" s="18">
        <v>0</v>
      </c>
      <c r="L5" s="10" t="s">
        <v>17</v>
      </c>
      <c r="N5" s="14"/>
    </row>
    <row r="6" spans="1:14" s="1" customFormat="1" ht="14.25">
      <c r="A6" s="9"/>
      <c r="B6" s="10"/>
      <c r="C6" s="21"/>
      <c r="D6" s="22"/>
      <c r="E6" s="22"/>
      <c r="F6" s="23"/>
      <c r="G6" s="21"/>
      <c r="H6" s="22"/>
      <c r="I6" s="22"/>
      <c r="J6" s="23"/>
      <c r="K6" s="21"/>
      <c r="L6" s="10"/>
      <c r="N6" s="14"/>
    </row>
    <row r="7" spans="1:14" s="30" customFormat="1" ht="30.75">
      <c r="A7" s="24" t="s">
        <v>18</v>
      </c>
      <c r="B7" s="25" t="s">
        <v>19</v>
      </c>
      <c r="C7" s="26">
        <f>$C$2-C5</f>
        <v>5</v>
      </c>
      <c r="D7" s="27" t="s">
        <v>20</v>
      </c>
      <c r="E7" s="27"/>
      <c r="F7" s="28"/>
      <c r="G7" s="26">
        <f>$C$2-G5</f>
        <v>-7.5</v>
      </c>
      <c r="H7" s="27" t="s">
        <v>21</v>
      </c>
      <c r="I7" s="27"/>
      <c r="J7" s="28"/>
      <c r="K7" s="26">
        <f>$C$2-K5</f>
        <v>5</v>
      </c>
      <c r="L7" s="29" t="s">
        <v>22</v>
      </c>
      <c r="N7" s="31"/>
    </row>
    <row r="8" spans="1:14" s="1" customFormat="1" ht="14.25">
      <c r="A8" s="9" t="s">
        <v>23</v>
      </c>
      <c r="B8" s="22"/>
      <c r="C8" s="32">
        <f>COS((PI()/180)*C4)*COS((PI()/180)*C7)</f>
        <v>0.5995249352960317</v>
      </c>
      <c r="D8" s="33"/>
      <c r="E8" s="33"/>
      <c r="F8" s="34"/>
      <c r="G8" s="32">
        <f>COS((PI()/180)*G4)*COS((PI()/180)*G7)</f>
        <v>0.6887154718018775</v>
      </c>
      <c r="H8" s="33"/>
      <c r="I8" s="33"/>
      <c r="J8" s="34"/>
      <c r="K8" s="32">
        <f>COS((PI()/180)*K4)*COS((PI()/180)*K7)</f>
        <v>0.79559646081691</v>
      </c>
      <c r="L8" s="10"/>
      <c r="N8" s="14"/>
    </row>
    <row r="9" spans="1:14" s="1" customFormat="1" ht="14.25">
      <c r="A9" s="9"/>
      <c r="B9" s="22" t="s">
        <v>24</v>
      </c>
      <c r="C9" s="35">
        <f>ACOS(C8)</f>
        <v>0.9278889167371335</v>
      </c>
      <c r="D9" s="22" t="s">
        <v>25</v>
      </c>
      <c r="E9" s="22"/>
      <c r="F9" s="23"/>
      <c r="G9" s="35">
        <f>ACOS(G8)</f>
        <v>0.8110804538259898</v>
      </c>
      <c r="H9" s="22" t="s">
        <v>26</v>
      </c>
      <c r="I9" s="22"/>
      <c r="J9" s="23"/>
      <c r="K9" s="35">
        <f>ACOS(K8)</f>
        <v>0.6508048428380652</v>
      </c>
      <c r="L9" s="22" t="s">
        <v>27</v>
      </c>
      <c r="N9" s="14"/>
    </row>
    <row r="10" spans="1:14" s="40" customFormat="1" ht="14.25">
      <c r="A10" s="36"/>
      <c r="B10" s="37"/>
      <c r="C10" s="36">
        <f>(180/PI())*ACOS(C8)</f>
        <v>53.1641187860036</v>
      </c>
      <c r="D10" s="38" t="s">
        <v>28</v>
      </c>
      <c r="E10" s="38"/>
      <c r="F10" s="39"/>
      <c r="G10" s="36">
        <f>(180/PI())*ACOS(G8)</f>
        <v>46.47148684978466</v>
      </c>
      <c r="H10" s="38" t="s">
        <v>29</v>
      </c>
      <c r="I10" s="38"/>
      <c r="J10" s="39"/>
      <c r="K10" s="36">
        <f>(180/PI())*ACOS(K8)</f>
        <v>37.288370781295974</v>
      </c>
      <c r="L10" s="38" t="s">
        <v>30</v>
      </c>
      <c r="N10" s="41"/>
    </row>
    <row r="11" spans="1:14" s="1" customFormat="1" ht="14.25">
      <c r="A11" s="9"/>
      <c r="B11" s="10"/>
      <c r="C11" s="9"/>
      <c r="D11" s="10"/>
      <c r="E11" s="10"/>
      <c r="F11" s="12"/>
      <c r="G11" s="9"/>
      <c r="H11" s="10"/>
      <c r="I11" s="10"/>
      <c r="J11" s="12"/>
      <c r="K11" s="9"/>
      <c r="L11" s="10"/>
      <c r="N11" s="14"/>
    </row>
    <row r="12" spans="1:14" s="1" customFormat="1" ht="14.25">
      <c r="A12" s="42" t="s">
        <v>31</v>
      </c>
      <c r="B12" s="10" t="s">
        <v>32</v>
      </c>
      <c r="C12" s="36">
        <f>(180/PI())*ATAN((C8-(6378/(6378+35786)))/SIN(C9))</f>
        <v>29.252044213869507</v>
      </c>
      <c r="D12" s="10" t="s">
        <v>33</v>
      </c>
      <c r="E12" s="10"/>
      <c r="F12" s="12"/>
      <c r="G12" s="36">
        <f>(180/PI())*ATAN((G8-(6378/(6378+35786)))/SIN(G9))</f>
        <v>36.5486718529372</v>
      </c>
      <c r="H12" s="10" t="s">
        <v>34</v>
      </c>
      <c r="I12" s="10"/>
      <c r="J12" s="12"/>
      <c r="K12" s="36">
        <f>(180/PI())*ATAN((K8-(6378/(6378+35786)))/SIN(K9))</f>
        <v>46.76407046785504</v>
      </c>
      <c r="L12" s="10" t="s">
        <v>35</v>
      </c>
      <c r="N12" s="14"/>
    </row>
    <row r="13" spans="1:14" s="1" customFormat="1" ht="14.25">
      <c r="A13" s="43"/>
      <c r="B13" s="44"/>
      <c r="C13" s="43"/>
      <c r="D13" s="44"/>
      <c r="E13" s="44"/>
      <c r="F13" s="45"/>
      <c r="G13" s="43"/>
      <c r="H13" s="44"/>
      <c r="I13" s="44"/>
      <c r="J13" s="45"/>
      <c r="K13" s="43"/>
      <c r="L13" s="44"/>
      <c r="M13" s="44"/>
      <c r="N13" s="45"/>
    </row>
    <row r="14" spans="1:15" s="1" customFormat="1" ht="14.25">
      <c r="A14" s="46" t="s">
        <v>36</v>
      </c>
      <c r="B14" s="47"/>
      <c r="C14" s="48"/>
      <c r="D14" s="49"/>
      <c r="E14" s="49"/>
      <c r="F14" s="50"/>
      <c r="G14" s="48"/>
      <c r="H14" s="49"/>
      <c r="I14" s="49"/>
      <c r="J14" s="50"/>
      <c r="K14" s="48"/>
      <c r="L14" s="49"/>
      <c r="M14" s="49"/>
      <c r="N14" s="50"/>
      <c r="O14" s="51" t="s">
        <v>37</v>
      </c>
    </row>
    <row r="15" spans="1:15" s="1" customFormat="1" ht="14.25">
      <c r="A15" s="52" t="s">
        <v>38</v>
      </c>
      <c r="B15" s="53" t="s">
        <v>39</v>
      </c>
      <c r="C15" s="54">
        <f>$C$12</f>
        <v>29.252044213869507</v>
      </c>
      <c r="D15" s="54">
        <f>$C$12</f>
        <v>29.252044213869507</v>
      </c>
      <c r="E15" s="54">
        <f>$C$12</f>
        <v>29.252044213869507</v>
      </c>
      <c r="F15" s="54">
        <f>$C$12</f>
        <v>29.252044213869507</v>
      </c>
      <c r="G15" s="54">
        <f>$G$12</f>
        <v>36.5486718529372</v>
      </c>
      <c r="H15" s="54">
        <f>$G$12</f>
        <v>36.5486718529372</v>
      </c>
      <c r="I15" s="54">
        <f>$G$12</f>
        <v>36.5486718529372</v>
      </c>
      <c r="J15" s="54">
        <f>$G$12</f>
        <v>36.5486718529372</v>
      </c>
      <c r="K15" s="54">
        <f>$K$12</f>
        <v>46.76407046785504</v>
      </c>
      <c r="L15" s="54">
        <f>$K$12</f>
        <v>46.76407046785504</v>
      </c>
      <c r="M15" s="54">
        <f>$K$12</f>
        <v>46.76407046785504</v>
      </c>
      <c r="N15" s="54">
        <f>$K$12</f>
        <v>46.76407046785504</v>
      </c>
      <c r="O15" s="51" t="s">
        <v>40</v>
      </c>
    </row>
    <row r="16" spans="1:15" s="1" customFormat="1" ht="14.25">
      <c r="A16" s="52" t="s">
        <v>41</v>
      </c>
      <c r="B16" s="55" t="s">
        <v>42</v>
      </c>
      <c r="C16" s="53">
        <f>0.12</f>
        <v>0.12</v>
      </c>
      <c r="D16" s="53">
        <f>0.12</f>
        <v>0.12</v>
      </c>
      <c r="E16" s="53">
        <f>0.12</f>
        <v>0.12</v>
      </c>
      <c r="F16" s="56">
        <f>0.12</f>
        <v>0.12</v>
      </c>
      <c r="G16" s="53">
        <f>0.68</f>
        <v>0.68</v>
      </c>
      <c r="H16" s="57">
        <f>0.68</f>
        <v>0.68</v>
      </c>
      <c r="I16" s="57">
        <f>0.68</f>
        <v>0.68</v>
      </c>
      <c r="J16" s="58">
        <f>0.68</f>
        <v>0.68</v>
      </c>
      <c r="K16" s="53">
        <f>1.135</f>
        <v>1.135</v>
      </c>
      <c r="L16" s="53">
        <f>1.135</f>
        <v>1.135</v>
      </c>
      <c r="M16" s="53">
        <f>1.135</f>
        <v>1.135</v>
      </c>
      <c r="N16" s="56">
        <f>1.135</f>
        <v>1.135</v>
      </c>
      <c r="O16" s="51" t="s">
        <v>43</v>
      </c>
    </row>
    <row r="17" spans="1:15" s="61" customFormat="1" ht="26.25">
      <c r="A17" s="59" t="s">
        <v>44</v>
      </c>
      <c r="B17" s="53" t="s">
        <v>45</v>
      </c>
      <c r="C17" s="53">
        <f>3</f>
        <v>3</v>
      </c>
      <c r="D17" s="53">
        <f>3</f>
        <v>3</v>
      </c>
      <c r="E17" s="53">
        <f>3</f>
        <v>3</v>
      </c>
      <c r="F17" s="56">
        <f>3</f>
        <v>3</v>
      </c>
      <c r="G17" s="53">
        <f>3</f>
        <v>3</v>
      </c>
      <c r="H17" s="53">
        <f>3</f>
        <v>3</v>
      </c>
      <c r="I17" s="53">
        <f>3</f>
        <v>3</v>
      </c>
      <c r="J17" s="56">
        <f>3</f>
        <v>3</v>
      </c>
      <c r="K17" s="53">
        <f>4.5</f>
        <v>4.5</v>
      </c>
      <c r="L17" s="53">
        <f>4.5</f>
        <v>4.5</v>
      </c>
      <c r="M17" s="53">
        <f>4.5</f>
        <v>4.5</v>
      </c>
      <c r="N17" s="56">
        <f>4.5</f>
        <v>4.5</v>
      </c>
      <c r="O17" s="60" t="s">
        <v>46</v>
      </c>
    </row>
    <row r="18" spans="1:15" s="61" customFormat="1" ht="14.25">
      <c r="A18" s="59" t="s">
        <v>47</v>
      </c>
      <c r="B18" s="53" t="s">
        <v>48</v>
      </c>
      <c r="C18" s="53">
        <f>h0+0.36</f>
        <v>3.36</v>
      </c>
      <c r="D18" s="53">
        <f aca="true" t="shared" si="0" ref="D18:N18">h0+0.36</f>
        <v>3.36</v>
      </c>
      <c r="E18" s="53">
        <f t="shared" si="0"/>
        <v>3.36</v>
      </c>
      <c r="F18" s="56">
        <f t="shared" si="0"/>
        <v>3.36</v>
      </c>
      <c r="G18" s="53">
        <f t="shared" si="0"/>
        <v>3.36</v>
      </c>
      <c r="H18" s="53">
        <f t="shared" si="0"/>
        <v>3.36</v>
      </c>
      <c r="I18" s="53">
        <f t="shared" si="0"/>
        <v>3.36</v>
      </c>
      <c r="J18" s="56">
        <f t="shared" si="0"/>
        <v>3.36</v>
      </c>
      <c r="K18" s="53">
        <f t="shared" si="0"/>
        <v>4.86</v>
      </c>
      <c r="L18" s="53">
        <f t="shared" si="0"/>
        <v>4.86</v>
      </c>
      <c r="M18" s="53">
        <f t="shared" si="0"/>
        <v>4.86</v>
      </c>
      <c r="N18" s="56">
        <f t="shared" si="0"/>
        <v>4.86</v>
      </c>
      <c r="O18" s="60" t="s">
        <v>49</v>
      </c>
    </row>
    <row r="19" spans="1:15" s="1" customFormat="1" ht="14.25">
      <c r="A19" s="52" t="s">
        <v>50</v>
      </c>
      <c r="B19" s="55" t="s">
        <v>51</v>
      </c>
      <c r="C19" s="62">
        <f>(hR-hS)/SIN(E*PI()/180)</f>
        <v>6.6304804739359895</v>
      </c>
      <c r="D19" s="62">
        <f aca="true" t="shared" si="1" ref="D19:M19">(hR-hS)/SIN(E*PI()/180)</f>
        <v>6.6304804739359895</v>
      </c>
      <c r="E19" s="62">
        <f t="shared" si="1"/>
        <v>6.6304804739359895</v>
      </c>
      <c r="F19" s="63">
        <f t="shared" si="1"/>
        <v>6.6304804739359895</v>
      </c>
      <c r="G19" s="62">
        <f t="shared" si="1"/>
        <v>4.500378736297106</v>
      </c>
      <c r="H19" s="62">
        <f t="shared" si="1"/>
        <v>4.500378736297106</v>
      </c>
      <c r="I19" s="62">
        <f t="shared" si="1"/>
        <v>4.500378736297106</v>
      </c>
      <c r="J19" s="63">
        <f t="shared" si="1"/>
        <v>4.500378736297106</v>
      </c>
      <c r="K19" s="62">
        <f t="shared" si="1"/>
        <v>5.112971184734655</v>
      </c>
      <c r="L19" s="62">
        <f>(hR-hS)/SIN(E*PI()/180)</f>
        <v>5.112971184734655</v>
      </c>
      <c r="M19" s="62">
        <f t="shared" si="1"/>
        <v>5.112971184734655</v>
      </c>
      <c r="N19" s="63">
        <f t="shared" si="1"/>
        <v>5.112971184734655</v>
      </c>
      <c r="O19" s="51" t="s">
        <v>52</v>
      </c>
    </row>
    <row r="20" spans="1:15" s="1" customFormat="1" ht="14.25">
      <c r="A20" s="52" t="s">
        <v>53</v>
      </c>
      <c r="B20" s="55" t="s">
        <v>54</v>
      </c>
      <c r="C20" s="64">
        <f>Ls*COS(E*PI()/180)</f>
        <v>5.78495214459432</v>
      </c>
      <c r="D20" s="64">
        <f aca="true" t="shared" si="2" ref="D20:M20">Ls*COS(E*PI()/180)</f>
        <v>5.78495214459432</v>
      </c>
      <c r="E20" s="64">
        <f t="shared" si="2"/>
        <v>5.78495214459432</v>
      </c>
      <c r="F20" s="54">
        <f t="shared" si="2"/>
        <v>5.78495214459432</v>
      </c>
      <c r="G20" s="64">
        <f t="shared" si="2"/>
        <v>3.6153850099422526</v>
      </c>
      <c r="H20" s="64">
        <f t="shared" si="2"/>
        <v>3.6153850099422526</v>
      </c>
      <c r="I20" s="64">
        <f t="shared" si="2"/>
        <v>3.6153850099422526</v>
      </c>
      <c r="J20" s="54">
        <f t="shared" si="2"/>
        <v>3.6153850099422526</v>
      </c>
      <c r="K20" s="64">
        <f t="shared" si="2"/>
        <v>3.502406220861152</v>
      </c>
      <c r="L20" s="64">
        <f t="shared" si="2"/>
        <v>3.502406220861152</v>
      </c>
      <c r="M20" s="64">
        <f t="shared" si="2"/>
        <v>3.502406220861152</v>
      </c>
      <c r="N20" s="54">
        <f>Ls*COS($K$12*PI()/180)</f>
        <v>3.502406220861152</v>
      </c>
      <c r="O20" s="51" t="s">
        <v>55</v>
      </c>
    </row>
    <row r="21" spans="1:15" s="1" customFormat="1" ht="14.25">
      <c r="A21" s="52" t="s">
        <v>56</v>
      </c>
      <c r="B21" s="55" t="s">
        <v>57</v>
      </c>
      <c r="C21" s="65">
        <v>35</v>
      </c>
      <c r="D21" s="65">
        <v>35</v>
      </c>
      <c r="E21" s="65">
        <v>35</v>
      </c>
      <c r="F21" s="65">
        <v>35</v>
      </c>
      <c r="G21" s="65">
        <v>50</v>
      </c>
      <c r="H21" s="65">
        <v>50</v>
      </c>
      <c r="I21" s="65">
        <v>50</v>
      </c>
      <c r="J21" s="65">
        <v>50</v>
      </c>
      <c r="K21" s="65">
        <v>25</v>
      </c>
      <c r="L21" s="65">
        <v>25</v>
      </c>
      <c r="M21" s="65">
        <v>25</v>
      </c>
      <c r="N21" s="65">
        <v>25</v>
      </c>
      <c r="O21" s="51" t="s">
        <v>58</v>
      </c>
    </row>
    <row r="22" spans="1:15" s="1" customFormat="1" ht="14.25">
      <c r="A22" s="52" t="s">
        <v>59</v>
      </c>
      <c r="B22" s="55" t="s">
        <v>60</v>
      </c>
      <c r="C22" s="54">
        <v>13.08</v>
      </c>
      <c r="D22" s="54">
        <v>13.08</v>
      </c>
      <c r="E22" s="54">
        <v>13.25</v>
      </c>
      <c r="F22" s="54">
        <v>13.25</v>
      </c>
      <c r="G22" s="54">
        <v>12.91</v>
      </c>
      <c r="H22" s="54">
        <v>12.91</v>
      </c>
      <c r="I22" s="54">
        <v>13.25</v>
      </c>
      <c r="J22" s="54">
        <v>13.25</v>
      </c>
      <c r="K22" s="54">
        <v>12.91</v>
      </c>
      <c r="L22" s="54">
        <v>12.91</v>
      </c>
      <c r="M22" s="54">
        <v>13.08</v>
      </c>
      <c r="N22" s="54">
        <v>13.08</v>
      </c>
      <c r="O22" s="51" t="s">
        <v>61</v>
      </c>
    </row>
    <row r="23" spans="1:15" s="1" customFormat="1" ht="14.25">
      <c r="A23" s="66"/>
      <c r="B23" s="67" t="s">
        <v>62</v>
      </c>
      <c r="C23" s="68" t="s">
        <v>63</v>
      </c>
      <c r="D23" s="68" t="s">
        <v>64</v>
      </c>
      <c r="E23" s="68" t="s">
        <v>65</v>
      </c>
      <c r="F23" s="68" t="s">
        <v>66</v>
      </c>
      <c r="G23" s="68" t="s">
        <v>67</v>
      </c>
      <c r="H23" s="68" t="s">
        <v>68</v>
      </c>
      <c r="I23" s="68" t="s">
        <v>69</v>
      </c>
      <c r="J23" s="68" t="s">
        <v>70</v>
      </c>
      <c r="K23" s="68" t="s">
        <v>71</v>
      </c>
      <c r="L23" s="68" t="s">
        <v>72</v>
      </c>
      <c r="M23" s="68" t="s">
        <v>73</v>
      </c>
      <c r="N23" s="68" t="s">
        <v>74</v>
      </c>
      <c r="O23" s="51"/>
    </row>
    <row r="24" spans="1:15" s="1" customFormat="1" ht="14.25">
      <c r="A24" s="52"/>
      <c r="B24" s="56" t="s">
        <v>75</v>
      </c>
      <c r="C24" s="69">
        <v>90</v>
      </c>
      <c r="D24" s="69">
        <v>0</v>
      </c>
      <c r="E24" s="69">
        <v>90</v>
      </c>
      <c r="F24" s="69">
        <v>0</v>
      </c>
      <c r="G24" s="65">
        <v>90</v>
      </c>
      <c r="H24" s="69">
        <v>0</v>
      </c>
      <c r="I24" s="69">
        <v>90</v>
      </c>
      <c r="J24" s="69">
        <v>0</v>
      </c>
      <c r="K24" s="69">
        <v>90</v>
      </c>
      <c r="L24" s="69">
        <v>0</v>
      </c>
      <c r="M24" s="69">
        <v>90</v>
      </c>
      <c r="N24" s="69">
        <v>0</v>
      </c>
      <c r="O24" s="51" t="s">
        <v>76</v>
      </c>
    </row>
    <row r="25" spans="1:15" s="74" customFormat="1" ht="14.25">
      <c r="A25" s="70" t="s">
        <v>77</v>
      </c>
      <c r="B25" s="71" t="s">
        <v>78</v>
      </c>
      <c r="C25" s="72">
        <f>0.01882</f>
        <v>0.01882</v>
      </c>
      <c r="D25" s="72">
        <f>0.01882</f>
        <v>0.01882</v>
      </c>
      <c r="E25" s="72">
        <f>0.01882</f>
        <v>0.01882</v>
      </c>
      <c r="F25" s="72">
        <f>0.01882</f>
        <v>0.01882</v>
      </c>
      <c r="G25" s="72">
        <f>0.01882</f>
        <v>0.01882</v>
      </c>
      <c r="H25" s="72">
        <f>0.01882</f>
        <v>0.01882</v>
      </c>
      <c r="I25" s="72">
        <f>0.01882</f>
        <v>0.01882</v>
      </c>
      <c r="J25" s="72">
        <f>0.01882</f>
        <v>0.01882</v>
      </c>
      <c r="K25" s="72">
        <f>0.01882</f>
        <v>0.01882</v>
      </c>
      <c r="L25" s="72">
        <f>0.01882</f>
        <v>0.01882</v>
      </c>
      <c r="M25" s="72">
        <f>0.01882</f>
        <v>0.01882</v>
      </c>
      <c r="N25" s="72">
        <f>0.01882</f>
        <v>0.01882</v>
      </c>
      <c r="O25" s="73"/>
    </row>
    <row r="26" spans="1:15" s="74" customFormat="1" ht="14.25">
      <c r="A26" s="70"/>
      <c r="B26" s="71" t="s">
        <v>79</v>
      </c>
      <c r="C26" s="72">
        <f>0.0168</f>
        <v>0.0168</v>
      </c>
      <c r="D26" s="72">
        <f>0.0168</f>
        <v>0.0168</v>
      </c>
      <c r="E26" s="72">
        <f>0.0168</f>
        <v>0.0168</v>
      </c>
      <c r="F26" s="72">
        <f>0.0168</f>
        <v>0.0168</v>
      </c>
      <c r="G26" s="72">
        <f>0.0168</f>
        <v>0.0168</v>
      </c>
      <c r="H26" s="72">
        <f>0.0168</f>
        <v>0.0168</v>
      </c>
      <c r="I26" s="72">
        <f>0.0168</f>
        <v>0.0168</v>
      </c>
      <c r="J26" s="72">
        <f>0.0168</f>
        <v>0.0168</v>
      </c>
      <c r="K26" s="72">
        <f>0.0168</f>
        <v>0.0168</v>
      </c>
      <c r="L26" s="72">
        <f>0.0168</f>
        <v>0.0168</v>
      </c>
      <c r="M26" s="72">
        <f>0.0168</f>
        <v>0.0168</v>
      </c>
      <c r="N26" s="72">
        <f>0.0168</f>
        <v>0.0168</v>
      </c>
      <c r="O26" s="73"/>
    </row>
    <row r="27" spans="1:15" s="1" customFormat="1" ht="14.25">
      <c r="A27" s="75" t="s">
        <v>80</v>
      </c>
      <c r="B27" s="76" t="s">
        <v>81</v>
      </c>
      <c r="C27" s="77">
        <f>0.5*(kH+kV+(kH-kV)*(COS((PI()/180)*E))^2*COS(PI()/180*2*tau))</f>
        <v>0.017041168950417095</v>
      </c>
      <c r="D27" s="77">
        <f aca="true" t="shared" si="3" ref="D27:N27">0.5*(kH+kV+(kH-kV)*(COS((PI()/180)*E))^2*COS(PI()/180*2*tau))</f>
        <v>0.018578831049582904</v>
      </c>
      <c r="E27" s="77">
        <f t="shared" si="3"/>
        <v>0.017041168950417095</v>
      </c>
      <c r="F27" s="77">
        <f t="shared" si="3"/>
        <v>0.018578831049582904</v>
      </c>
      <c r="G27" s="77">
        <f t="shared" si="3"/>
        <v>0.01715817299114132</v>
      </c>
      <c r="H27" s="77">
        <f t="shared" si="3"/>
        <v>0.018461827008858678</v>
      </c>
      <c r="I27" s="77">
        <f t="shared" si="3"/>
        <v>0.01715817299114132</v>
      </c>
      <c r="J27" s="77">
        <f t="shared" si="3"/>
        <v>0.018461827008858678</v>
      </c>
      <c r="K27" s="77">
        <f t="shared" si="3"/>
        <v>0.017336077077858707</v>
      </c>
      <c r="L27" s="77">
        <f t="shared" si="3"/>
        <v>0.01828392292214129</v>
      </c>
      <c r="M27" s="77">
        <f t="shared" si="3"/>
        <v>0.017336077077858707</v>
      </c>
      <c r="N27" s="77">
        <f t="shared" si="3"/>
        <v>0.01828392292214129</v>
      </c>
      <c r="O27" s="78"/>
    </row>
    <row r="28" spans="1:15" s="1" customFormat="1" ht="14.25">
      <c r="A28" s="75"/>
      <c r="B28" s="76" t="s">
        <v>82</v>
      </c>
      <c r="C28" s="77">
        <f>1.2168</f>
        <v>1.2168</v>
      </c>
      <c r="D28" s="77">
        <f>1.2168</f>
        <v>1.2168</v>
      </c>
      <c r="E28" s="77">
        <f>1.2168</f>
        <v>1.2168</v>
      </c>
      <c r="F28" s="77">
        <f>1.2168</f>
        <v>1.2168</v>
      </c>
      <c r="G28" s="77">
        <f>1.2168</f>
        <v>1.2168</v>
      </c>
      <c r="H28" s="77">
        <f>1.2168</f>
        <v>1.2168</v>
      </c>
      <c r="I28" s="77">
        <f>1.2168</f>
        <v>1.2168</v>
      </c>
      <c r="J28" s="77">
        <f>1.2168</f>
        <v>1.2168</v>
      </c>
      <c r="K28" s="77">
        <f>1.2168</f>
        <v>1.2168</v>
      </c>
      <c r="L28" s="77">
        <f>1.2168</f>
        <v>1.2168</v>
      </c>
      <c r="M28" s="77">
        <f>1.2168</f>
        <v>1.2168</v>
      </c>
      <c r="N28" s="77">
        <f>1.2168</f>
        <v>1.2168</v>
      </c>
      <c r="O28" s="78"/>
    </row>
    <row r="29" spans="1:15" s="1" customFormat="1" ht="14.25">
      <c r="A29" s="75"/>
      <c r="B29" s="76" t="s">
        <v>83</v>
      </c>
      <c r="C29" s="77">
        <f>1.1994</f>
        <v>1.1994</v>
      </c>
      <c r="D29" s="77">
        <f>1.1994</f>
        <v>1.1994</v>
      </c>
      <c r="E29" s="77">
        <f>1.1994</f>
        <v>1.1994</v>
      </c>
      <c r="F29" s="77">
        <f>1.1994</f>
        <v>1.1994</v>
      </c>
      <c r="G29" s="77">
        <f>1.1994</f>
        <v>1.1994</v>
      </c>
      <c r="H29" s="77">
        <f>1.1994</f>
        <v>1.1994</v>
      </c>
      <c r="I29" s="77">
        <f>1.1994</f>
        <v>1.1994</v>
      </c>
      <c r="J29" s="77">
        <f>1.1994</f>
        <v>1.1994</v>
      </c>
      <c r="K29" s="77">
        <f>1.1994</f>
        <v>1.1994</v>
      </c>
      <c r="L29" s="77">
        <f>1.1994</f>
        <v>1.1994</v>
      </c>
      <c r="M29" s="77">
        <f>1.1994</f>
        <v>1.1994</v>
      </c>
      <c r="N29" s="77">
        <f>1.1994</f>
        <v>1.1994</v>
      </c>
      <c r="O29" s="78"/>
    </row>
    <row r="30" spans="1:15" s="1" customFormat="1" ht="14.25">
      <c r="A30" s="75" t="s">
        <v>84</v>
      </c>
      <c r="B30" s="76" t="s">
        <v>85</v>
      </c>
      <c r="C30" s="77">
        <f>(1/(2*k)*(kH*alphaH+kV*alphaV+(kH*alphaH-kV*alphaV)*(COS((PI()/180*E))^2*COS((PI()/180)*2*tau))))</f>
        <v>1.2016942434953362</v>
      </c>
      <c r="D30" s="77">
        <f aca="true" t="shared" si="4" ref="D30:N30">(1/(2*k)*(kH*alphaH+kV*alphaV+(kH*alphaH-kV*alphaV)*(COS((PI()/180*E))^2*COS((PI()/180)*2*tau))))</f>
        <v>1.2149215044591868</v>
      </c>
      <c r="E30" s="77">
        <f t="shared" si="4"/>
        <v>1.2016942434953362</v>
      </c>
      <c r="F30" s="77">
        <f t="shared" si="4"/>
        <v>1.2149215044591868</v>
      </c>
      <c r="G30" s="77">
        <f t="shared" si="4"/>
        <v>1.2027840696233447</v>
      </c>
      <c r="H30" s="77">
        <f t="shared" si="4"/>
        <v>1.2139924641076592</v>
      </c>
      <c r="I30" s="77">
        <f t="shared" si="4"/>
        <v>1.2027840696233447</v>
      </c>
      <c r="J30" s="77">
        <f t="shared" si="4"/>
        <v>1.2139924641076592</v>
      </c>
      <c r="K30" s="77">
        <f t="shared" si="4"/>
        <v>1.2044129561568393</v>
      </c>
      <c r="L30" s="77">
        <f t="shared" si="4"/>
        <v>1.212557078308714</v>
      </c>
      <c r="M30" s="77">
        <f t="shared" si="4"/>
        <v>1.2044129561568393</v>
      </c>
      <c r="N30" s="77">
        <f t="shared" si="4"/>
        <v>1.212557078308714</v>
      </c>
      <c r="O30" s="78"/>
    </row>
    <row r="31" spans="1:15" s="1" customFormat="1" ht="14.25">
      <c r="A31" s="75" t="s">
        <v>86</v>
      </c>
      <c r="B31" s="76" t="s">
        <v>87</v>
      </c>
      <c r="C31" s="79">
        <f>k*R0.01^alpha</f>
        <v>1.2217913965097311</v>
      </c>
      <c r="D31" s="79">
        <f>k*R0.01^alpha</f>
        <v>1.396174998699991</v>
      </c>
      <c r="E31" s="79">
        <f aca="true" t="shared" si="5" ref="E31:N31">k*R0.01^alpha</f>
        <v>1.2217913965097311</v>
      </c>
      <c r="F31" s="79">
        <f t="shared" si="5"/>
        <v>1.396174998699991</v>
      </c>
      <c r="G31" s="79">
        <f t="shared" si="5"/>
        <v>1.8965534993960573</v>
      </c>
      <c r="H31" s="79">
        <f t="shared" si="5"/>
        <v>2.132119092847885</v>
      </c>
      <c r="I31" s="79">
        <f t="shared" si="5"/>
        <v>1.8965534993960573</v>
      </c>
      <c r="J31" s="79">
        <f t="shared" si="5"/>
        <v>2.132119092847885</v>
      </c>
      <c r="K31" s="79">
        <f t="shared" si="5"/>
        <v>0.8368505147560867</v>
      </c>
      <c r="L31" s="79">
        <f t="shared" si="5"/>
        <v>0.9060484763446301</v>
      </c>
      <c r="M31" s="79">
        <f t="shared" si="5"/>
        <v>0.8368505147560867</v>
      </c>
      <c r="N31" s="79">
        <f t="shared" si="5"/>
        <v>0.9060484763446301</v>
      </c>
      <c r="O31" s="78" t="s">
        <v>88</v>
      </c>
    </row>
    <row r="32" spans="1:15" s="83" customFormat="1" ht="14.25">
      <c r="A32" s="80" t="s">
        <v>89</v>
      </c>
      <c r="B32" s="81" t="s">
        <v>90</v>
      </c>
      <c r="C32" s="81">
        <f>1/(1+0.78*SQRT(LG*gammaR/(f))-0.38*(1-EXP(-2*LG)))</f>
        <v>0.8379566825370102</v>
      </c>
      <c r="D32" s="81">
        <f aca="true" t="shared" si="6" ref="D32:N32">1/(1+0.78*SQRT(LG*gammaR/(f))-0.38*(1-EXP(-2*LG)))</f>
        <v>0.8110740034230633</v>
      </c>
      <c r="E32" s="81">
        <f t="shared" si="6"/>
        <v>0.8405558250697507</v>
      </c>
      <c r="F32" s="81">
        <f t="shared" si="6"/>
        <v>0.8136773144135429</v>
      </c>
      <c r="G32" s="81">
        <f t="shared" si="6"/>
        <v>0.8412382779384578</v>
      </c>
      <c r="H32" s="81">
        <f t="shared" si="6"/>
        <v>0.817665794858359</v>
      </c>
      <c r="I32" s="81">
        <f t="shared" si="6"/>
        <v>0.8464654385456334</v>
      </c>
      <c r="J32" s="81">
        <f t="shared" si="6"/>
        <v>0.8229028259571183</v>
      </c>
      <c r="K32" s="81">
        <f t="shared" si="6"/>
        <v>1.0080657946297995</v>
      </c>
      <c r="L32" s="81">
        <f t="shared" si="6"/>
        <v>0.9929901334211069</v>
      </c>
      <c r="M32" s="81">
        <f t="shared" si="6"/>
        <v>1.0105341506010899</v>
      </c>
      <c r="N32" s="81">
        <f t="shared" si="6"/>
        <v>0.9954824213829151</v>
      </c>
      <c r="O32" s="82"/>
    </row>
    <row r="33" spans="1:15" s="1" customFormat="1" ht="14.25">
      <c r="A33" s="52" t="s">
        <v>91</v>
      </c>
      <c r="B33" s="84" t="s">
        <v>92</v>
      </c>
      <c r="C33" s="54">
        <f>(180/PI())*ATAN((hR-hS)/(LG*r_0.01))</f>
        <v>33.75798910888159</v>
      </c>
      <c r="D33" s="54">
        <f aca="true" t="shared" si="7" ref="D33:N33">(180/PI())*ATAN((hR-hS)/(LG*r_0.01))</f>
        <v>34.62637887654695</v>
      </c>
      <c r="E33" s="54">
        <f t="shared" si="7"/>
        <v>33.67606037568765</v>
      </c>
      <c r="F33" s="54">
        <f t="shared" si="7"/>
        <v>34.54057688794159</v>
      </c>
      <c r="G33" s="54">
        <f t="shared" si="7"/>
        <v>41.38563384403008</v>
      </c>
      <c r="H33" s="54">
        <f t="shared" si="7"/>
        <v>42.19470992078143</v>
      </c>
      <c r="I33" s="54">
        <f t="shared" si="7"/>
        <v>41.20965680773752</v>
      </c>
      <c r="J33" s="54">
        <f t="shared" si="7"/>
        <v>42.012743664698256</v>
      </c>
      <c r="K33" s="54">
        <f t="shared" si="7"/>
        <v>46.53431122718175</v>
      </c>
      <c r="L33" s="54">
        <f t="shared" si="7"/>
        <v>46.96516837850349</v>
      </c>
      <c r="M33" s="54">
        <f t="shared" si="7"/>
        <v>46.46434552225138</v>
      </c>
      <c r="N33" s="54">
        <f t="shared" si="7"/>
        <v>46.893518455520116</v>
      </c>
      <c r="O33" s="51" t="s">
        <v>93</v>
      </c>
    </row>
    <row r="34" spans="1:15" s="1" customFormat="1" ht="14.25">
      <c r="A34" s="52"/>
      <c r="B34" s="84" t="s">
        <v>94</v>
      </c>
      <c r="C34" s="54">
        <f>IF(zeta&gt;E,LG*r_0.01/COS((PI()/180)*E),(hR-hS)/SIN((PI()/180)*E))</f>
        <v>5.556055421565825</v>
      </c>
      <c r="D34" s="54">
        <f aca="true" t="shared" si="8" ref="D34:N34">IF(zeta&gt;E,LG*r_0.01/COS((PI()/180)*E),(hR-hS)/SIN((PI()/180)*E))</f>
        <v>5.377810342613714</v>
      </c>
      <c r="E34" s="54">
        <f t="shared" si="8"/>
        <v>5.573288985378138</v>
      </c>
      <c r="F34" s="54">
        <f t="shared" si="8"/>
        <v>5.395071545303671</v>
      </c>
      <c r="G34" s="54">
        <f t="shared" si="8"/>
        <v>3.7858908581934307</v>
      </c>
      <c r="H34" s="54">
        <f t="shared" si="8"/>
        <v>3.679805756578031</v>
      </c>
      <c r="I34" s="54">
        <f t="shared" si="8"/>
        <v>3.8094150606411734</v>
      </c>
      <c r="J34" s="54">
        <f t="shared" si="8"/>
        <v>3.7033743799762138</v>
      </c>
      <c r="K34" s="54">
        <f t="shared" si="8"/>
        <v>5.112971184734655</v>
      </c>
      <c r="L34" s="54">
        <f t="shared" si="8"/>
        <v>5.07712993890794</v>
      </c>
      <c r="M34" s="54">
        <f t="shared" si="8"/>
        <v>5.112971184734655</v>
      </c>
      <c r="N34" s="54">
        <f t="shared" si="8"/>
        <v>5.089872935440727</v>
      </c>
      <c r="O34" s="51" t="s">
        <v>95</v>
      </c>
    </row>
    <row r="35" spans="1:15" s="1" customFormat="1" ht="14.25">
      <c r="A35" s="52"/>
      <c r="B35" s="84" t="s">
        <v>96</v>
      </c>
      <c r="C35" s="54">
        <f>IF(ABS($C$4)&lt;36,36-ABS($C$4),0)</f>
        <v>0</v>
      </c>
      <c r="D35" s="54">
        <f>IF(ABS($C$4)&lt;36,36-ABS($C$4),0)</f>
        <v>0</v>
      </c>
      <c r="E35" s="54">
        <f>IF(ABS($C$4)&lt;36,36-ABS($C$4),0)</f>
        <v>0</v>
      </c>
      <c r="F35" s="54">
        <f>IF(ABS($C$4)&lt;36,36-ABS($C$4),0)</f>
        <v>0</v>
      </c>
      <c r="G35" s="54">
        <f>IF(ABS($G$4)&lt;36,36-ABS($G$4),0)</f>
        <v>0</v>
      </c>
      <c r="H35" s="54">
        <f>IF(ABS($G$4)&lt;36,36-ABS($G$4),0)</f>
        <v>0</v>
      </c>
      <c r="I35" s="54">
        <f>IF(ABS($G$4)&lt;36,36-ABS($G$4),0)</f>
        <v>0</v>
      </c>
      <c r="J35" s="54">
        <f>IF(ABS($G$4)&lt;36,36-ABS($G$4),0)</f>
        <v>0</v>
      </c>
      <c r="K35" s="54">
        <f>IF(ABS($K$4)&lt;36,36-ABS($K$4),0)</f>
        <v>0</v>
      </c>
      <c r="L35" s="54">
        <f>IF(ABS($K$4)&lt;36,36-ABS($K$4),0)</f>
        <v>0</v>
      </c>
      <c r="M35" s="54">
        <f>IF(ABS($K$4)&lt;36,36-ABS($K$4),0)</f>
        <v>0</v>
      </c>
      <c r="N35" s="54">
        <f>IF(ABS($K$4)&lt;36,36-ABS($K$4),0)</f>
        <v>0</v>
      </c>
      <c r="O35" s="51" t="s">
        <v>97</v>
      </c>
    </row>
    <row r="36" spans="1:15" s="1" customFormat="1" ht="14.25">
      <c r="A36" s="52"/>
      <c r="B36" s="84" t="s">
        <v>98</v>
      </c>
      <c r="C36" s="85">
        <f>1/(1+SQRT(SIN((PI()/180)*E))*(31*(1-EXP(-E/(1+ksi)))*SQRT(LR*gammaR)/(f)^2-0.45))</f>
        <v>0.9847907256381961</v>
      </c>
      <c r="D36" s="85">
        <f aca="true" t="shared" si="9" ref="D36:N36">1/(1+SQRT(SIN((PI()/180)*E))*(31*(1-EXP(-E/(1+ksi)))*SQRT(LR*gammaR)/(f)^2-0.45))</f>
        <v>0.9685183995793334</v>
      </c>
      <c r="E36" s="85">
        <f t="shared" si="9"/>
        <v>0.9925275908939317</v>
      </c>
      <c r="F36" s="85">
        <f t="shared" si="9"/>
        <v>0.976373309989004</v>
      </c>
      <c r="G36" s="85">
        <f t="shared" si="9"/>
        <v>0.9639968201845807</v>
      </c>
      <c r="H36" s="85">
        <f t="shared" si="9"/>
        <v>0.9480646222767446</v>
      </c>
      <c r="I36" s="85">
        <f t="shared" si="9"/>
        <v>0.9813587995266745</v>
      </c>
      <c r="J36" s="85">
        <f t="shared" si="9"/>
        <v>0.9655935550332708</v>
      </c>
      <c r="K36" s="85">
        <f t="shared" si="9"/>
        <v>1.0589860225507173</v>
      </c>
      <c r="L36" s="85">
        <f t="shared" si="9"/>
        <v>1.0455795417368117</v>
      </c>
      <c r="M36" s="85">
        <f t="shared" si="9"/>
        <v>1.068583000421886</v>
      </c>
      <c r="N36" s="85">
        <f t="shared" si="9"/>
        <v>1.0548190127457175</v>
      </c>
      <c r="O36" s="51"/>
    </row>
    <row r="37" spans="1:15" s="1" customFormat="1" ht="14.25">
      <c r="A37" s="52" t="s">
        <v>99</v>
      </c>
      <c r="B37" s="84" t="s">
        <v>100</v>
      </c>
      <c r="C37" s="54">
        <f>v0.01*LR</f>
        <v>5.471551850289842</v>
      </c>
      <c r="D37" s="54">
        <f aca="true" t="shared" si="10" ref="D37:N37">v0.01*LR</f>
        <v>5.208508266269421</v>
      </c>
      <c r="E37" s="54">
        <f t="shared" si="10"/>
        <v>5.531643090013048</v>
      </c>
      <c r="F37" s="54">
        <f t="shared" si="10"/>
        <v>5.267603862315636</v>
      </c>
      <c r="G37" s="54">
        <f t="shared" si="10"/>
        <v>3.6495867488643405</v>
      </c>
      <c r="H37" s="54">
        <f t="shared" si="10"/>
        <v>3.488693654661941</v>
      </c>
      <c r="I37" s="54">
        <f t="shared" si="10"/>
        <v>3.738402990809656</v>
      </c>
      <c r="J37" s="54">
        <f t="shared" si="10"/>
        <v>3.5759544331803674</v>
      </c>
      <c r="K37" s="54">
        <f t="shared" si="10"/>
        <v>5.414565018338581</v>
      </c>
      <c r="L37" s="54">
        <f t="shared" si="10"/>
        <v>5.308543194861611</v>
      </c>
      <c r="M37" s="54">
        <f t="shared" si="10"/>
        <v>5.463634089654403</v>
      </c>
      <c r="N37" s="54">
        <f t="shared" si="10"/>
        <v>5.368894744762735</v>
      </c>
      <c r="O37" s="51" t="s">
        <v>101</v>
      </c>
    </row>
    <row r="38" spans="1:15" s="1" customFormat="1" ht="14.25">
      <c r="A38" s="86" t="s">
        <v>102</v>
      </c>
      <c r="B38" s="87" t="s">
        <v>103</v>
      </c>
      <c r="C38" s="88">
        <f>gammaR*LE</f>
        <v>6.68509497624103</v>
      </c>
      <c r="D38" s="88">
        <f aca="true" t="shared" si="11" ref="D38:N38">gammaR*LE</f>
        <v>7.271989021887601</v>
      </c>
      <c r="E38" s="88">
        <f t="shared" si="11"/>
        <v>6.758513935940447</v>
      </c>
      <c r="F38" s="88">
        <f t="shared" si="11"/>
        <v>7.3544968156206005</v>
      </c>
      <c r="G38" s="88">
        <f t="shared" si="11"/>
        <v>6.921636519908145</v>
      </c>
      <c r="H38" s="88">
        <f t="shared" si="11"/>
        <v>7.43831035020199</v>
      </c>
      <c r="I38" s="88">
        <f t="shared" si="11"/>
        <v>7.090081274372739</v>
      </c>
      <c r="J38" s="88">
        <f t="shared" si="11"/>
        <v>7.624360722137897</v>
      </c>
      <c r="K38" s="88">
        <f t="shared" si="11"/>
        <v>4.531181522776942</v>
      </c>
      <c r="L38" s="88">
        <f t="shared" si="11"/>
        <v>4.809797473314017</v>
      </c>
      <c r="M38" s="88">
        <f t="shared" si="11"/>
        <v>4.57224500036619</v>
      </c>
      <c r="N38" s="88">
        <f t="shared" si="11"/>
        <v>4.864478903146968</v>
      </c>
      <c r="O38" s="89" t="s">
        <v>104</v>
      </c>
    </row>
    <row r="39" spans="1:15" s="1" customFormat="1" ht="14.25">
      <c r="A39" s="52" t="s">
        <v>105</v>
      </c>
      <c r="B39" s="84" t="s">
        <v>106</v>
      </c>
      <c r="C39" s="85">
        <f>0.3*(0.3)^1.15</f>
        <v>0.0751295344433944</v>
      </c>
      <c r="D39" s="85">
        <f aca="true" t="shared" si="12" ref="D39:N39">0.3*(0.3)^1.15</f>
        <v>0.0751295344433944</v>
      </c>
      <c r="E39" s="85">
        <f t="shared" si="12"/>
        <v>0.0751295344433944</v>
      </c>
      <c r="F39" s="85">
        <f t="shared" si="12"/>
        <v>0.0751295344433944</v>
      </c>
      <c r="G39" s="85">
        <f t="shared" si="12"/>
        <v>0.0751295344433944</v>
      </c>
      <c r="H39" s="85">
        <f t="shared" si="12"/>
        <v>0.0751295344433944</v>
      </c>
      <c r="I39" s="85">
        <f t="shared" si="12"/>
        <v>0.0751295344433944</v>
      </c>
      <c r="J39" s="85">
        <f t="shared" si="12"/>
        <v>0.0751295344433944</v>
      </c>
      <c r="K39" s="85">
        <f t="shared" si="12"/>
        <v>0.0751295344433944</v>
      </c>
      <c r="L39" s="85">
        <f t="shared" si="12"/>
        <v>0.0751295344433944</v>
      </c>
      <c r="M39" s="85">
        <f t="shared" si="12"/>
        <v>0.0751295344433944</v>
      </c>
      <c r="N39" s="85">
        <f t="shared" si="12"/>
        <v>0.0751295344433944</v>
      </c>
      <c r="O39" s="51" t="s">
        <v>107</v>
      </c>
    </row>
    <row r="40" spans="1:15" s="1" customFormat="1" ht="14.25">
      <c r="A40" s="52"/>
      <c r="B40" s="84" t="s">
        <v>108</v>
      </c>
      <c r="C40" s="54">
        <f>IF(ABS($C$4)&gt;=36,0,IF(AND(ABS($C$4)&lt;36,E&gt;=25),-0.005*(ABS($C$4)-36),-0.005*(ABS($C$4)-36)+1.8-4.25*SIN((PI()/180)*E)))</f>
        <v>0</v>
      </c>
      <c r="D40" s="54">
        <f>IF(ABS($C$4)&gt;=36,0,IF(AND(ABS($C$4)&lt;36,E&gt;=25),-0.005*(ABS($C$4)-36),-0.005*(ABS($C$4)-36)+1.8-4.25*SIN((PI()/180)*E)))</f>
        <v>0</v>
      </c>
      <c r="E40" s="54">
        <f>IF(ABS($C$4)&gt;=36,0,IF(AND(ABS($C$4)&lt;36,E&gt;=25),-0.005*(ABS($C$4)-36),-0.005*(ABS($C$4)-36)+1.8-4.25*SIN((PI()/180)*E)))</f>
        <v>0</v>
      </c>
      <c r="F40" s="54">
        <f>IF(ABS($C$4)&gt;=36,0,IF(AND(ABS($C$4)&lt;36,E&gt;=25),-0.005*(ABS($C$4)-36),-0.005*(ABS($C$4)-36)+1.8-4.25*SIN((PI()/180)*E)))</f>
        <v>0</v>
      </c>
      <c r="G40" s="54">
        <f>IF(ABS($G$4)&gt;=36,0,IF(AND(ABS($G$4)&lt;36,E&gt;=25),-0.005*(ABS($G$4)-36),-0.005*(ABS($G$4)-36)+1.8-4.25*SIN((PI()/180)*E)))</f>
        <v>0</v>
      </c>
      <c r="H40" s="54">
        <f>IF(ABS($G$4)&gt;=36,0,IF(AND(ABS($G$4)&lt;36,E&gt;=25),-0.005*(ABS($G$4)-36),-0.005*(ABS($G$4)-36)+1.8-4.25*SIN((PI()/180)*E)))</f>
        <v>0</v>
      </c>
      <c r="I40" s="54">
        <f>IF(ABS($G$4)&gt;=36,0,IF(AND(ABS($G$4)&lt;36,E&gt;=25),-0.005*(ABS($G$4)-36),-0.005*(ABS($G$4)-36)+1.8-4.25*SIN((PI()/180)*E)))</f>
        <v>0</v>
      </c>
      <c r="J40" s="54">
        <f>IF(ABS($G$4)&gt;=36,0,IF(AND(ABS($G$4)&lt;36,E&gt;=25),-0.005*(ABS($G$4)-36),-0.005*(ABS($G$4)-36)+1.8-4.25*SIN((PI()/180)*E)))</f>
        <v>0</v>
      </c>
      <c r="K40" s="54">
        <f>IF(ABS($K$4)&gt;=36,0,IF(AND(ABS($K$4)&lt;36,E&gt;=25),-0.005*(ABS($K$4)-36),-0.005*(ABS($K$4)-36)+1.8-4.25*SIN((PI()/180)*E)))</f>
        <v>0</v>
      </c>
      <c r="L40" s="54">
        <f>IF(ABS($K$4)&gt;=36,0,IF(AND(ABS($K$4)&lt;36,E&gt;=25),-0.005*(ABS($K$4)-36),-0.005*(ABS($K$4)-36)+1.8-4.25*SIN((PI()/180)*E)))</f>
        <v>0</v>
      </c>
      <c r="M40" s="54">
        <f>IF(ABS($K$4)&gt;=36,0,IF(AND(ABS($K$4)&lt;36,E&gt;=25),-0.005*(ABS($K$4)-36),-0.005*(ABS($K$4)-36)+1.8-4.25*SIN((PI()/180)*E)))</f>
        <v>0</v>
      </c>
      <c r="N40" s="54">
        <f>IF(ABS($K$4)&gt;=36,0,IF(AND(ABS($K$4)&lt;36,E&gt;=25),-0.005*(ABS($K$4)-36),-0.005*(ABS($K$4)-36)+1.8-4.25*SIN((PI()/180)*E)))</f>
        <v>0</v>
      </c>
      <c r="O40" s="51"/>
    </row>
    <row r="41" spans="1:15" s="93" customFormat="1" ht="26.25">
      <c r="A41" s="90" t="s">
        <v>109</v>
      </c>
      <c r="B41" s="91" t="s">
        <v>110</v>
      </c>
      <c r="C41" s="91">
        <f>A0.01*(p/0.01)^(-(0.655+0.033*LN(p)-0.045*LN(A0.01)-beta*(1-p)*SIN((PI()/180)*E)))</f>
        <v>2.518500633767801</v>
      </c>
      <c r="D41" s="91">
        <f aca="true" t="shared" si="13" ref="D41:N41">A0.01*(p/0.01)^(-(0.655+0.033*LN(p)-0.045*LN(A0.01)-beta*(1-p)*SIN((PI()/180)*E)))</f>
        <v>2.760604242054031</v>
      </c>
      <c r="E41" s="91">
        <f t="shared" si="13"/>
        <v>2.548685058114363</v>
      </c>
      <c r="F41" s="91">
        <f t="shared" si="13"/>
        <v>2.7947859067918563</v>
      </c>
      <c r="G41" s="91">
        <f t="shared" si="13"/>
        <v>2.6158550832954486</v>
      </c>
      <c r="H41" s="91">
        <f t="shared" si="13"/>
        <v>2.829544166114694</v>
      </c>
      <c r="I41" s="91">
        <f t="shared" si="13"/>
        <v>2.685367553876253</v>
      </c>
      <c r="J41" s="91">
        <f t="shared" si="13"/>
        <v>2.9068275601835216</v>
      </c>
      <c r="K41" s="91">
        <f t="shared" si="13"/>
        <v>1.6478546785306216</v>
      </c>
      <c r="L41" s="91">
        <f t="shared" si="13"/>
        <v>1.758676701970259</v>
      </c>
      <c r="M41" s="91">
        <f t="shared" si="13"/>
        <v>1.664150106552244</v>
      </c>
      <c r="N41" s="91">
        <f t="shared" si="13"/>
        <v>1.780496304137253</v>
      </c>
      <c r="O41" s="92" t="s">
        <v>111</v>
      </c>
    </row>
  </sheetData>
  <mergeCells count="3">
    <mergeCell ref="C3:F3"/>
    <mergeCell ref="G3:J3"/>
    <mergeCell ref="K3:N3"/>
  </mergeCells>
  <printOptions/>
  <pageMargins left="0.7875" right="0.7875" top="1.0527777777777778" bottom="1.0527777777777778" header="0.7875" footer="0.7875"/>
  <pageSetup firstPageNumber="1" useFirstPageNumber="1" fitToHeight="0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2005-11-08T20:55:08Z</dcterms:created>
  <dcterms:modified xsi:type="dcterms:W3CDTF">1601-01-01T00:02:05Z</dcterms:modified>
  <cp:category/>
  <cp:version/>
  <cp:contentType/>
  <cp:contentStatus/>
  <cp:revision>1</cp:revision>
</cp:coreProperties>
</file>